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namedSheetViews/namedSheetView1.xml" ContentType="application/vnd.ms-excel.namedsheetview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e83da6875db2e76/Documents/"/>
    </mc:Choice>
  </mc:AlternateContent>
  <xr:revisionPtr revIDLastSave="525" documentId="13_ncr:1_{DD27C29C-49D2-4AF6-A304-BB95C12A4712}" xr6:coauthVersionLast="47" xr6:coauthVersionMax="47" xr10:uidLastSave="{28A2C75F-B95A-4C28-B2DE-100035950408}"/>
  <bookViews>
    <workbookView xWindow="-120" yWindow="-120" windowWidth="29040" windowHeight="15840" xr2:uid="{81BB46D5-ACC5-4E18-BA2D-28121F3A8304}"/>
  </bookViews>
  <sheets>
    <sheet name="Obliczenia" sheetId="1" r:id="rId1"/>
    <sheet name="Instrukcja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" i="1" l="1"/>
  <c r="L5" i="1" s="1"/>
  <c r="F11" i="1"/>
  <c r="C11" i="1"/>
  <c r="B11" i="1"/>
  <c r="L11" i="1"/>
  <c r="E7" i="1"/>
  <c r="E8" i="1"/>
  <c r="J2" i="1"/>
  <c r="G7" i="1"/>
  <c r="I7" i="1"/>
  <c r="F7" i="1"/>
  <c r="H7" i="1"/>
  <c r="N11" i="1"/>
  <c r="F10" i="1"/>
  <c r="D7" i="1"/>
  <c r="O11" i="1"/>
  <c r="M11" i="1"/>
  <c r="K11" i="1"/>
  <c r="C10" i="1"/>
  <c r="B10" i="1"/>
  <c r="D8" i="1"/>
  <c r="O5" i="1" l="1"/>
  <c r="O6" i="1" s="1"/>
  <c r="D5" i="1"/>
  <c r="D6" i="1" s="1"/>
  <c r="K5" i="1"/>
  <c r="M5" i="1"/>
  <c r="M15" i="1" s="1"/>
  <c r="M18" i="1" s="1"/>
  <c r="N5" i="1"/>
  <c r="L15" i="1"/>
  <c r="L18" i="1" s="1"/>
  <c r="L6" i="1"/>
  <c r="M6" i="1"/>
  <c r="B5" i="1"/>
  <c r="F5" i="1"/>
  <c r="C5" i="1"/>
  <c r="H5" i="1"/>
  <c r="I5" i="1"/>
  <c r="G5" i="1"/>
  <c r="E5" i="1"/>
  <c r="O15" i="1" l="1"/>
  <c r="O18" i="1" s="1"/>
  <c r="O19" i="1" s="1"/>
  <c r="X14" i="1"/>
  <c r="M19" i="1"/>
  <c r="M7" i="1"/>
  <c r="O7" i="1"/>
  <c r="X16" i="1"/>
  <c r="K15" i="1"/>
  <c r="K18" i="1" s="1"/>
  <c r="K6" i="1"/>
  <c r="D15" i="1"/>
  <c r="D14" i="1"/>
  <c r="N6" i="1"/>
  <c r="N15" i="1"/>
  <c r="N18" i="1" s="1"/>
  <c r="E15" i="1"/>
  <c r="E6" i="1"/>
  <c r="E14" i="1"/>
  <c r="C15" i="1"/>
  <c r="C6" i="1"/>
  <c r="C14" i="1"/>
  <c r="F6" i="1"/>
  <c r="F14" i="1"/>
  <c r="F15" i="1"/>
  <c r="L7" i="1"/>
  <c r="L19" i="1"/>
  <c r="X13" i="1"/>
  <c r="G18" i="1"/>
  <c r="G6" i="1"/>
  <c r="I6" i="1"/>
  <c r="I18" i="1"/>
  <c r="B15" i="1"/>
  <c r="B14" i="1"/>
  <c r="B6" i="1"/>
  <c r="H18" i="1"/>
  <c r="H6" i="1"/>
  <c r="D16" i="1" l="1"/>
  <c r="D17" i="1" s="1"/>
  <c r="D18" i="1" s="1"/>
  <c r="X6" i="1" s="1"/>
  <c r="F16" i="1"/>
  <c r="F17" i="1" s="1"/>
  <c r="F18" i="1" s="1"/>
  <c r="K19" i="1"/>
  <c r="X12" i="1"/>
  <c r="K7" i="1"/>
  <c r="N19" i="1"/>
  <c r="X15" i="1"/>
  <c r="N7" i="1"/>
  <c r="B16" i="1"/>
  <c r="E16" i="1"/>
  <c r="E17" i="1" s="1"/>
  <c r="E18" i="1" s="1"/>
  <c r="D19" i="1"/>
  <c r="X9" i="1"/>
  <c r="G19" i="1"/>
  <c r="I19" i="1"/>
  <c r="X11" i="1"/>
  <c r="C16" i="1"/>
  <c r="H19" i="1"/>
  <c r="X10" i="1"/>
  <c r="F19" i="1" l="1"/>
  <c r="X8" i="1"/>
  <c r="C17" i="1"/>
  <c r="C18" i="1" s="1"/>
  <c r="B17" i="1"/>
  <c r="B18" i="1" s="1"/>
  <c r="X7" i="1"/>
  <c r="E19" i="1"/>
  <c r="X4" i="1" l="1"/>
  <c r="B19" i="1"/>
  <c r="X5" i="1"/>
  <c r="C19" i="1"/>
</calcChain>
</file>

<file path=xl/sharedStrings.xml><?xml version="1.0" encoding="utf-8"?>
<sst xmlns="http://schemas.openxmlformats.org/spreadsheetml/2006/main" count="73" uniqueCount="64">
  <si>
    <t>Ilość GJ</t>
  </si>
  <si>
    <t>UWAGA !!! WYPEŁNIAMY TYLKO SZARE POLA</t>
  </si>
  <si>
    <t>Taryfa OZC G2</t>
  </si>
  <si>
    <t>Taryfa OZC G4</t>
  </si>
  <si>
    <t xml:space="preserve">Prąd </t>
  </si>
  <si>
    <t>Pompa ciepła COP2</t>
  </si>
  <si>
    <t>Pompa ciepła COP3</t>
  </si>
  <si>
    <t>EKO-GROSZEK kopciuch</t>
  </si>
  <si>
    <t>EKO-Groszek 5 klasa</t>
  </si>
  <si>
    <t>PELET</t>
  </si>
  <si>
    <t>Eko-miał 24</t>
  </si>
  <si>
    <t>Eko-miał 26</t>
  </si>
  <si>
    <t>ilość GJ</t>
  </si>
  <si>
    <t>ilość kWh</t>
  </si>
  <si>
    <t>cieplo za GJ</t>
  </si>
  <si>
    <t>przesył</t>
  </si>
  <si>
    <t>COP1:1</t>
  </si>
  <si>
    <t>COP2:1</t>
  </si>
  <si>
    <t>COP3:1</t>
  </si>
  <si>
    <t>kaloryczność</t>
  </si>
  <si>
    <t>gaz 0,11 2021</t>
  </si>
  <si>
    <t>abonament</t>
  </si>
  <si>
    <t>korekta sprawności</t>
  </si>
  <si>
    <t>dystrybucja stała</t>
  </si>
  <si>
    <t>kal. Po korekcie</t>
  </si>
  <si>
    <t>pomiar</t>
  </si>
  <si>
    <t>ind. Rozlicz.</t>
  </si>
  <si>
    <t>ciepło</t>
  </si>
  <si>
    <t>przesył zmienna</t>
  </si>
  <si>
    <t>razem netto</t>
  </si>
  <si>
    <t>cena za GJ</t>
  </si>
  <si>
    <t>vat</t>
  </si>
  <si>
    <t>razem brutto</t>
  </si>
  <si>
    <t>miesięcznie</t>
  </si>
  <si>
    <t>Autor Ryszard Chmielina</t>
  </si>
  <si>
    <t>Cena prądu brutto</t>
  </si>
  <si>
    <t>Cena prądu netto</t>
  </si>
  <si>
    <t>VAT energia</t>
  </si>
  <si>
    <t>VAT gaz</t>
  </si>
  <si>
    <t>VAT cieplik</t>
  </si>
  <si>
    <t>cena za tonę</t>
  </si>
  <si>
    <t>gaz 0,20 2022</t>
  </si>
  <si>
    <t>Kaloryczność</t>
  </si>
  <si>
    <t>Sprawność kotła</t>
  </si>
  <si>
    <t>Ilość węgla (ton)</t>
  </si>
  <si>
    <t>Roczna ilość gazu kWh</t>
  </si>
  <si>
    <t>Kalkulator wersja 2022-05-27</t>
  </si>
  <si>
    <t>Jeżeli posiadamy już jakieś źródło ogrzewania to wypełniamy odpowiednie wartości np. roczne zużycie węgla w tonach lub roczna ilość kWh z rachunków za gaz.</t>
  </si>
  <si>
    <t>Wszystkie szare pola można edytować.</t>
  </si>
  <si>
    <t>Arkusz pozwala na obliczenie kosztów ogrzewania z różnych źródeł w tym samym domu.</t>
  </si>
  <si>
    <t>Niezależnie czy dom jest ocieplony czy nie , to niezależnie od źródła ciepła potrzebuje taką samą ilość GJ do ogrzania. Arkusz pomaga wybrać najtańszy sposób wytworzenia GJ</t>
  </si>
  <si>
    <t>Ryszard Chmielina</t>
  </si>
  <si>
    <t>Polecam zmieniać sobie ceny na takie w jakich jesteś w stanie kupić paliwa, ponieważ wszędzie są inne, a także kaloryczność i sprawność kotłów.</t>
  </si>
  <si>
    <t>Ekogroszek kopciuch</t>
  </si>
  <si>
    <t>Ekogroszek 5 klasa</t>
  </si>
  <si>
    <t>Chrust +</t>
  </si>
  <si>
    <t>Cieplik Taryfa G2</t>
  </si>
  <si>
    <t>Cieplik Taryfa G4</t>
  </si>
  <si>
    <t>Gaz 0,11PLN 2021r</t>
  </si>
  <si>
    <t>Gaz 0,20PLN 2022r</t>
  </si>
  <si>
    <t>Cieplik podwyżka 120%</t>
  </si>
  <si>
    <t>moc stała (10)</t>
  </si>
  <si>
    <t>ilość paliwa (t/m3)</t>
  </si>
  <si>
    <t>OZC podwyżka 120%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</si>
</sst>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2" fontId="0" fillId="0" borderId="0" xfId="0" applyNumberFormat="1"/>
    <xf numFmtId="43" fontId="0" fillId="0" borderId="0" xfId="1" applyFont="1"/>
    <xf numFmtId="0" fontId="2" fillId="0" borderId="0" xfId="0" applyFont="1"/>
    <xf numFmtId="4" fontId="0" fillId="0" borderId="0" xfId="0" applyNumberFormat="1"/>
    <xf numFmtId="4" fontId="3" fillId="0" borderId="0" xfId="0" applyNumberFormat="1" applyFont="1"/>
    <xf numFmtId="43" fontId="4" fillId="0" borderId="0" xfId="1" applyFont="1"/>
    <xf numFmtId="164" fontId="0" fillId="0" borderId="0" xfId="0" applyNumberFormat="1"/>
    <xf numFmtId="4" fontId="0" fillId="2" borderId="0" xfId="0" applyNumberFormat="1" applyFill="1"/>
    <xf numFmtId="43" fontId="0" fillId="0" borderId="0" xfId="0" applyNumberFormat="1"/>
    <xf numFmtId="0" fontId="2" fillId="2" borderId="1" xfId="0" applyFont="1" applyFill="1" applyBorder="1"/>
    <xf numFmtId="0" fontId="0" fillId="0" borderId="0" xfId="0" applyBorder="1"/>
    <xf numFmtId="0" fontId="0" fillId="0" borderId="1" xfId="0" applyBorder="1"/>
    <xf numFmtId="0" fontId="5" fillId="2" borderId="1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2" fillId="2" borderId="4" xfId="0" applyFont="1" applyFill="1" applyBorder="1"/>
    <xf numFmtId="0" fontId="2" fillId="0" borderId="2" xfId="0" applyFont="1" applyBorder="1"/>
    <xf numFmtId="0" fontId="2" fillId="0" borderId="5" xfId="0" applyFont="1" applyBorder="1"/>
    <xf numFmtId="0" fontId="2" fillId="2" borderId="6" xfId="0" applyFont="1" applyFill="1" applyBorder="1"/>
    <xf numFmtId="0" fontId="2" fillId="0" borderId="3" xfId="0" applyFont="1" applyBorder="1"/>
    <xf numFmtId="0" fontId="2" fillId="2" borderId="7" xfId="0" applyFont="1" applyFill="1" applyBorder="1"/>
    <xf numFmtId="0" fontId="2" fillId="0" borderId="7" xfId="0" applyFont="1" applyBorder="1"/>
    <xf numFmtId="0" fontId="2" fillId="0" borderId="1" xfId="0" applyFont="1" applyBorder="1"/>
    <xf numFmtId="0" fontId="5" fillId="2" borderId="6" xfId="0" applyFont="1" applyFill="1" applyBorder="1"/>
    <xf numFmtId="0" fontId="0" fillId="0" borderId="8" xfId="0" applyBorder="1"/>
    <xf numFmtId="0" fontId="0" fillId="0" borderId="6" xfId="0" applyBorder="1"/>
    <xf numFmtId="0" fontId="3" fillId="2" borderId="4" xfId="0" applyFont="1" applyFill="1" applyBorder="1"/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11" xfId="0" applyFont="1" applyBorder="1" applyAlignment="1"/>
    <xf numFmtId="0" fontId="0" fillId="0" borderId="11" xfId="0" applyBorder="1"/>
    <xf numFmtId="0" fontId="2" fillId="4" borderId="0" xfId="0" applyFont="1" applyFill="1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2" fillId="3" borderId="7" xfId="0" applyNumberFormat="1" applyFont="1" applyFill="1" applyBorder="1"/>
  </cellXfs>
  <cellStyles count="2">
    <cellStyle name="Dziesiętny" xfId="1" builtinId="3"/>
    <cellStyle name="Normalny" xfId="0" builtinId="0"/>
  </cellStyles>
  <dxfs count="0"/>
  <tableStyles count="1" defaultTableStyle="TableStyleMedium2" defaultPivotStyle="PivotStyleLight16">
    <tableStyle name="Invisible" pivot="0" table="0" count="0" xr9:uid="{A198F02C-8B1A-45B1-86CD-A3DA6C54DF0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Obliczenia!$W$4:$W$16</c:f>
              <c:strCache>
                <c:ptCount val="13"/>
                <c:pt idx="0">
                  <c:v>Taryfa OZC G2</c:v>
                </c:pt>
                <c:pt idx="1">
                  <c:v>Taryfa OZC G4</c:v>
                </c:pt>
                <c:pt idx="2">
                  <c:v>gaz 0,11 2021</c:v>
                </c:pt>
                <c:pt idx="3">
                  <c:v>gaz 0,20 2022</c:v>
                </c:pt>
                <c:pt idx="4">
                  <c:v>OZC podwyżka 120%</c:v>
                </c:pt>
                <c:pt idx="5">
                  <c:v>Prąd </c:v>
                </c:pt>
                <c:pt idx="6">
                  <c:v>Pompa ciepła COP2</c:v>
                </c:pt>
                <c:pt idx="7">
                  <c:v>Pompa ciepła COP3</c:v>
                </c:pt>
                <c:pt idx="8">
                  <c:v>EKO-GROSZEK kopciuch</c:v>
                </c:pt>
                <c:pt idx="9">
                  <c:v>EKO-Groszek 5 klasa</c:v>
                </c:pt>
                <c:pt idx="10">
                  <c:v>PELET</c:v>
                </c:pt>
                <c:pt idx="11">
                  <c:v>Eko-miał 24</c:v>
                </c:pt>
                <c:pt idx="12">
                  <c:v>Eko-miał 26</c:v>
                </c:pt>
              </c:strCache>
            </c:strRef>
          </c:cat>
          <c:val>
            <c:numRef>
              <c:f>Obliczenia!$X$4:$X$16</c:f>
              <c:numCache>
                <c:formatCode>_(* #,##0.00_);_(* \(#,##0.00\);_(* "-"??_);_(@_)</c:formatCode>
                <c:ptCount val="13"/>
                <c:pt idx="0">
                  <c:v>7468.2012089999989</c:v>
                </c:pt>
                <c:pt idx="1">
                  <c:v>8165.1662564999988</c:v>
                </c:pt>
                <c:pt idx="2">
                  <c:v>4830.9698939999998</c:v>
                </c:pt>
                <c:pt idx="3">
                  <c:v>7878.4038719999999</c:v>
                </c:pt>
                <c:pt idx="4">
                  <c:v>15326.326809</c:v>
                </c:pt>
                <c:pt idx="5">
                  <c:v>22313.740402799995</c:v>
                </c:pt>
                <c:pt idx="6">
                  <c:v>11156.870201399997</c:v>
                </c:pt>
                <c:pt idx="7">
                  <c:v>7437.9134675999985</c:v>
                </c:pt>
                <c:pt idx="8" formatCode="#,##0.00">
                  <c:v>22615.384615384613</c:v>
                </c:pt>
                <c:pt idx="9" formatCode="#,##0.00">
                  <c:v>15000.000000000002</c:v>
                </c:pt>
                <c:pt idx="10" formatCode="#,##0.00">
                  <c:v>12098.765432098766</c:v>
                </c:pt>
                <c:pt idx="11" formatCode="#,##0.00">
                  <c:v>13474.999999999998</c:v>
                </c:pt>
                <c:pt idx="12" formatCode="#,##0.00">
                  <c:v>7350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E1-474B-9D7A-5C3AA69CC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0067360"/>
        <c:axId val="1790071520"/>
        <c:axId val="0"/>
      </c:bar3DChart>
      <c:catAx>
        <c:axId val="179006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90071520"/>
        <c:crosses val="autoZero"/>
        <c:auto val="1"/>
        <c:lblAlgn val="ctr"/>
        <c:lblOffset val="100"/>
        <c:noMultiLvlLbl val="0"/>
      </c:catAx>
      <c:valAx>
        <c:axId val="179007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90067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19</xdr:row>
      <xdr:rowOff>80961</xdr:rowOff>
    </xdr:from>
    <xdr:to>
      <xdr:col>7</xdr:col>
      <xdr:colOff>361949</xdr:colOff>
      <xdr:row>36</xdr:row>
      <xdr:rowOff>152400</xdr:rowOff>
    </xdr:to>
    <xdr:graphicFrame macro="">
      <xdr:nvGraphicFramePr>
        <xdr:cNvPr id="6" name="Wykres 2">
          <a:extLst>
            <a:ext uri="{FF2B5EF4-FFF2-40B4-BE49-F238E27FC236}">
              <a16:creationId xmlns:a16="http://schemas.microsoft.com/office/drawing/2014/main" id="{B90FEC67-9DFB-4ACC-991E-1A768DB45B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323850</xdr:colOff>
      <xdr:row>21</xdr:row>
      <xdr:rowOff>35461</xdr:rowOff>
    </xdr:from>
    <xdr:to>
      <xdr:col>12</xdr:col>
      <xdr:colOff>866775</xdr:colOff>
      <xdr:row>28</xdr:row>
      <xdr:rowOff>188995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7B2351B-ECB9-433D-ABCC-A58BB178C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4331236"/>
          <a:ext cx="1828800" cy="148703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Internet" id="{FA2EAD6D-3E30-4DA7-BBC4-6EE2693FF855}"/>
</namedSheetView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65E9D-C0DA-4A3F-BF6F-539507C77F9C}">
  <dimension ref="A1:X31"/>
  <sheetViews>
    <sheetView tabSelected="1" zoomScaleNormal="100" workbookViewId="0">
      <selection activeCell="F1" sqref="F1"/>
    </sheetView>
  </sheetViews>
  <sheetFormatPr defaultRowHeight="15" x14ac:dyDescent="0.25"/>
  <cols>
    <col min="1" max="1" width="18.5703125" customWidth="1"/>
    <col min="2" max="2" width="15.42578125" customWidth="1"/>
    <col min="3" max="3" width="15.5703125" bestFit="1" customWidth="1"/>
    <col min="4" max="5" width="17" customWidth="1"/>
    <col min="6" max="6" width="21.42578125" customWidth="1"/>
    <col min="7" max="7" width="15.7109375" customWidth="1"/>
    <col min="8" max="8" width="18.7109375" customWidth="1"/>
    <col min="9" max="9" width="18.42578125" customWidth="1"/>
    <col min="10" max="10" width="17.7109375" customWidth="1"/>
    <col min="11" max="11" width="19" customWidth="1"/>
    <col min="12" max="12" width="19.28515625" customWidth="1"/>
    <col min="13" max="13" width="16.85546875" customWidth="1"/>
    <col min="14" max="14" width="19" bestFit="1" customWidth="1"/>
    <col min="15" max="15" width="17" customWidth="1"/>
    <col min="16" max="16" width="20.28515625" customWidth="1"/>
    <col min="17" max="17" width="17.85546875" customWidth="1"/>
    <col min="23" max="23" width="16.7109375" customWidth="1"/>
    <col min="25" max="25" width="22.140625" bestFit="1" customWidth="1"/>
    <col min="26" max="26" width="9.42578125" bestFit="1" customWidth="1"/>
  </cols>
  <sheetData>
    <row r="1" spans="1:24" ht="24" thickBot="1" x14ac:dyDescent="0.4">
      <c r="A1" s="20" t="s">
        <v>44</v>
      </c>
      <c r="B1" s="27">
        <v>5</v>
      </c>
      <c r="C1" s="34" t="s">
        <v>45</v>
      </c>
      <c r="D1" s="21">
        <v>0</v>
      </c>
      <c r="E1" s="22" t="s">
        <v>0</v>
      </c>
      <c r="F1" s="36">
        <f>IF(B1&gt;0,B1*B2*B3,D1/277.7)</f>
        <v>98</v>
      </c>
      <c r="G1" s="15" t="s">
        <v>37</v>
      </c>
      <c r="H1" s="16">
        <v>23</v>
      </c>
      <c r="I1" s="22" t="s">
        <v>36</v>
      </c>
      <c r="J1">
        <v>0.66659999999999997</v>
      </c>
      <c r="K1">
        <v>0.49659999999999999</v>
      </c>
      <c r="L1" s="28" t="s">
        <v>1</v>
      </c>
      <c r="M1" s="29"/>
      <c r="N1" s="30"/>
      <c r="O1" s="31"/>
    </row>
    <row r="2" spans="1:24" ht="15.75" x14ac:dyDescent="0.25">
      <c r="A2" s="17" t="s">
        <v>42</v>
      </c>
      <c r="B2" s="13">
        <v>28</v>
      </c>
      <c r="C2" s="35"/>
      <c r="D2" s="12"/>
      <c r="E2" s="11"/>
      <c r="F2" s="11"/>
      <c r="G2" s="17" t="s">
        <v>38</v>
      </c>
      <c r="H2" s="10">
        <v>23</v>
      </c>
      <c r="I2" s="14" t="s">
        <v>35</v>
      </c>
      <c r="J2" s="23">
        <f>J1*(H1/100)+J1</f>
        <v>0.81991799999999992</v>
      </c>
    </row>
    <row r="3" spans="1:24" ht="15.75" x14ac:dyDescent="0.25">
      <c r="A3" s="18" t="s">
        <v>43</v>
      </c>
      <c r="B3" s="24">
        <v>0.7</v>
      </c>
      <c r="C3" s="25"/>
      <c r="D3" s="26"/>
      <c r="E3" s="25"/>
      <c r="F3" s="25"/>
      <c r="G3" s="18" t="s">
        <v>39</v>
      </c>
      <c r="H3" s="19">
        <v>23</v>
      </c>
      <c r="I3" s="25"/>
      <c r="J3" s="26"/>
    </row>
    <row r="4" spans="1:24" ht="21" customHeight="1" x14ac:dyDescent="0.25">
      <c r="B4" s="32" t="s">
        <v>56</v>
      </c>
      <c r="C4" s="32" t="s">
        <v>57</v>
      </c>
      <c r="D4" s="32" t="s">
        <v>58</v>
      </c>
      <c r="E4" s="32" t="s">
        <v>59</v>
      </c>
      <c r="F4" s="32" t="s">
        <v>60</v>
      </c>
      <c r="G4" s="32" t="s">
        <v>4</v>
      </c>
      <c r="H4" s="32" t="s">
        <v>5</v>
      </c>
      <c r="I4" s="32" t="s">
        <v>6</v>
      </c>
      <c r="J4" s="32"/>
      <c r="K4" s="32" t="s">
        <v>53</v>
      </c>
      <c r="L4" s="32" t="s">
        <v>54</v>
      </c>
      <c r="M4" s="32" t="s">
        <v>9</v>
      </c>
      <c r="N4" s="32" t="s">
        <v>10</v>
      </c>
      <c r="O4" s="32" t="s">
        <v>55</v>
      </c>
      <c r="W4" s="3" t="s">
        <v>2</v>
      </c>
      <c r="X4" s="9">
        <f>B18</f>
        <v>7468.2012089999989</v>
      </c>
    </row>
    <row r="5" spans="1:24" x14ac:dyDescent="0.25">
      <c r="A5" t="s">
        <v>12</v>
      </c>
      <c r="B5" s="4">
        <f>F1</f>
        <v>98</v>
      </c>
      <c r="C5" s="4">
        <f>F1</f>
        <v>98</v>
      </c>
      <c r="D5" s="4">
        <f>F1</f>
        <v>98</v>
      </c>
      <c r="E5" s="4">
        <f>F1</f>
        <v>98</v>
      </c>
      <c r="F5" s="4">
        <f>F1</f>
        <v>98</v>
      </c>
      <c r="G5" s="4">
        <f>F1</f>
        <v>98</v>
      </c>
      <c r="H5" s="4">
        <f>F1</f>
        <v>98</v>
      </c>
      <c r="I5" s="4">
        <f>F1</f>
        <v>98</v>
      </c>
      <c r="J5" t="s">
        <v>12</v>
      </c>
      <c r="K5" s="4">
        <f>F1</f>
        <v>98</v>
      </c>
      <c r="L5" s="4">
        <f>F1</f>
        <v>98</v>
      </c>
      <c r="M5" s="4">
        <f>F1</f>
        <v>98</v>
      </c>
      <c r="N5" s="4">
        <f>F1</f>
        <v>98</v>
      </c>
      <c r="O5" s="4">
        <f>F1</f>
        <v>98</v>
      </c>
      <c r="W5" s="3" t="s">
        <v>3</v>
      </c>
      <c r="X5" s="9">
        <f>C18</f>
        <v>8165.1662564999988</v>
      </c>
    </row>
    <row r="6" spans="1:24" x14ac:dyDescent="0.25">
      <c r="A6" t="s">
        <v>13</v>
      </c>
      <c r="B6" s="4">
        <f>B5*277.7</f>
        <v>27214.6</v>
      </c>
      <c r="C6" s="4">
        <f t="shared" ref="C6:G6" si="0">C5*277.7</f>
        <v>27214.6</v>
      </c>
      <c r="D6" s="4">
        <f t="shared" si="0"/>
        <v>27214.6</v>
      </c>
      <c r="E6" s="4">
        <f t="shared" si="0"/>
        <v>27214.6</v>
      </c>
      <c r="F6" s="4">
        <f t="shared" si="0"/>
        <v>27214.6</v>
      </c>
      <c r="G6" s="4">
        <f t="shared" si="0"/>
        <v>27214.6</v>
      </c>
      <c r="H6" s="4">
        <f>H5*277.7/2</f>
        <v>13607.3</v>
      </c>
      <c r="I6" s="4">
        <f>I5*277.7/3</f>
        <v>9071.5333333333328</v>
      </c>
      <c r="J6" s="4" t="s">
        <v>13</v>
      </c>
      <c r="K6" s="4">
        <f t="shared" ref="K6" si="1">K5*277.7</f>
        <v>27214.6</v>
      </c>
      <c r="L6" s="4">
        <f t="shared" ref="L6" si="2">L5*277.7</f>
        <v>27214.6</v>
      </c>
      <c r="M6" s="4">
        <f t="shared" ref="M6" si="3">M5*277.7</f>
        <v>27214.6</v>
      </c>
      <c r="N6" s="4">
        <f t="shared" ref="N6" si="4">N5*277.7</f>
        <v>27214.6</v>
      </c>
      <c r="O6" s="4">
        <f t="shared" ref="O6" si="5">O5*277.7</f>
        <v>27214.6</v>
      </c>
      <c r="Q6" s="4"/>
      <c r="W6" s="3" t="s">
        <v>20</v>
      </c>
      <c r="X6" s="9">
        <f>D18</f>
        <v>4830.9698939999998</v>
      </c>
    </row>
    <row r="7" spans="1:24" x14ac:dyDescent="0.25">
      <c r="A7" t="s">
        <v>14</v>
      </c>
      <c r="B7">
        <v>49.32</v>
      </c>
      <c r="C7">
        <v>49.32</v>
      </c>
      <c r="D7" s="1">
        <f>0.11*277.7</f>
        <v>30.547000000000001</v>
      </c>
      <c r="E7" s="1">
        <f>0.2*277.7</f>
        <v>55.54</v>
      </c>
      <c r="F7" s="1">
        <f>C7*2.2</f>
        <v>108.504</v>
      </c>
      <c r="G7" s="1">
        <f>J2*277.7</f>
        <v>227.69122859999996</v>
      </c>
      <c r="H7" s="1">
        <f>J2*277.7/2</f>
        <v>113.84561429999998</v>
      </c>
      <c r="I7" s="1">
        <f>J2*277.7/3</f>
        <v>75.897076199999987</v>
      </c>
      <c r="J7" t="s">
        <v>30</v>
      </c>
      <c r="K7" s="4">
        <f>K18/K5</f>
        <v>230.76923076923075</v>
      </c>
      <c r="L7" s="4">
        <f>L18/L5</f>
        <v>153.06122448979593</v>
      </c>
      <c r="M7" s="4">
        <f>M18/M5</f>
        <v>123.4567901234568</v>
      </c>
      <c r="N7" s="4">
        <f>N18/N5</f>
        <v>137.49999999999997</v>
      </c>
      <c r="O7" s="4">
        <f>O18/O5</f>
        <v>75</v>
      </c>
      <c r="Q7" s="4"/>
      <c r="W7" s="3" t="s">
        <v>41</v>
      </c>
      <c r="X7" s="9">
        <f>E18</f>
        <v>7878.4038719999999</v>
      </c>
    </row>
    <row r="8" spans="1:24" x14ac:dyDescent="0.25">
      <c r="A8" t="s">
        <v>15</v>
      </c>
      <c r="B8">
        <v>12.03</v>
      </c>
      <c r="C8">
        <v>17.75</v>
      </c>
      <c r="D8" s="1">
        <f>0.033*277.7</f>
        <v>9.1640999999999995</v>
      </c>
      <c r="E8" s="1">
        <f>0.034*277.7</f>
        <v>9.4418000000000006</v>
      </c>
      <c r="F8">
        <v>17.989999999999998</v>
      </c>
      <c r="G8" t="s">
        <v>16</v>
      </c>
      <c r="H8" t="s">
        <v>17</v>
      </c>
      <c r="I8" t="s">
        <v>18</v>
      </c>
      <c r="J8" s="3" t="s">
        <v>40</v>
      </c>
      <c r="K8" s="8">
        <v>3000</v>
      </c>
      <c r="L8" s="8">
        <v>3000</v>
      </c>
      <c r="M8" s="8">
        <v>2000</v>
      </c>
      <c r="N8" s="8">
        <v>1650</v>
      </c>
      <c r="O8" s="8">
        <v>300</v>
      </c>
      <c r="W8" s="3" t="s">
        <v>63</v>
      </c>
      <c r="X8" s="9">
        <f>F18</f>
        <v>15326.326809</v>
      </c>
    </row>
    <row r="9" spans="1:24" x14ac:dyDescent="0.25">
      <c r="A9" t="s">
        <v>21</v>
      </c>
      <c r="D9" s="1">
        <v>6.3</v>
      </c>
      <c r="E9" s="1">
        <v>6.3</v>
      </c>
      <c r="J9" s="3" t="s">
        <v>19</v>
      </c>
      <c r="K9" s="8">
        <v>26</v>
      </c>
      <c r="L9" s="8">
        <v>28</v>
      </c>
      <c r="M9" s="8">
        <v>18</v>
      </c>
      <c r="N9" s="8">
        <v>24</v>
      </c>
      <c r="O9" s="8">
        <v>8</v>
      </c>
      <c r="W9" s="3" t="s">
        <v>4</v>
      </c>
      <c r="X9" s="9">
        <f>G18</f>
        <v>22313.740402799995</v>
      </c>
    </row>
    <row r="10" spans="1:24" x14ac:dyDescent="0.25">
      <c r="A10" t="s">
        <v>23</v>
      </c>
      <c r="B10" s="1">
        <f>2010.78*(B1/1000)</f>
        <v>10.053900000000001</v>
      </c>
      <c r="C10" s="1">
        <f>3226.43*(B1/1000)</f>
        <v>16.132149999999999</v>
      </c>
      <c r="D10">
        <v>29.63</v>
      </c>
      <c r="E10">
        <v>30.69</v>
      </c>
      <c r="F10" s="1">
        <f>2932.38*(B1/1000)</f>
        <v>14.661900000000001</v>
      </c>
      <c r="G10" s="1"/>
      <c r="H10" s="1"/>
      <c r="I10" s="1"/>
      <c r="J10" t="s">
        <v>22</v>
      </c>
      <c r="K10" s="8">
        <v>50</v>
      </c>
      <c r="L10" s="8">
        <v>70</v>
      </c>
      <c r="M10" s="8">
        <v>90</v>
      </c>
      <c r="N10" s="8">
        <v>50</v>
      </c>
      <c r="O10" s="8">
        <v>50</v>
      </c>
      <c r="W10" s="3" t="s">
        <v>5</v>
      </c>
      <c r="X10" s="9">
        <f>H18</f>
        <v>11156.870201399997</v>
      </c>
    </row>
    <row r="11" spans="1:24" x14ac:dyDescent="0.25">
      <c r="A11" t="s">
        <v>61</v>
      </c>
      <c r="B11" s="1">
        <f>4935.44*(10/1000)</f>
        <v>49.354399999999998</v>
      </c>
      <c r="C11" s="1">
        <f>4935.44*(10/1000)</f>
        <v>49.354399999999998</v>
      </c>
      <c r="F11" s="1">
        <f>4935.44*(10/1000)</f>
        <v>49.354399999999998</v>
      </c>
      <c r="G11" s="1"/>
      <c r="H11" s="1"/>
      <c r="I11" s="1"/>
      <c r="J11" t="s">
        <v>24</v>
      </c>
      <c r="K11">
        <f>K9*(K10/100)</f>
        <v>13</v>
      </c>
      <c r="L11">
        <f>L9*(L10/100)</f>
        <v>19.599999999999998</v>
      </c>
      <c r="M11" s="4">
        <f>M9*(M10/100)</f>
        <v>16.2</v>
      </c>
      <c r="N11">
        <f>N9*(N10/100)</f>
        <v>12</v>
      </c>
      <c r="O11">
        <f>O9*(O10/100)</f>
        <v>4</v>
      </c>
      <c r="W11" s="3" t="s">
        <v>6</v>
      </c>
      <c r="X11" s="9">
        <f>I18</f>
        <v>7437.9134675999985</v>
      </c>
    </row>
    <row r="12" spans="1:24" x14ac:dyDescent="0.25">
      <c r="A12" t="s">
        <v>25</v>
      </c>
      <c r="B12">
        <v>0</v>
      </c>
      <c r="C12">
        <v>0</v>
      </c>
      <c r="F12">
        <v>0</v>
      </c>
      <c r="M12" s="4"/>
      <c r="W12" s="3" t="s">
        <v>7</v>
      </c>
      <c r="X12" s="4">
        <f>K18</f>
        <v>22615.384615384613</v>
      </c>
    </row>
    <row r="13" spans="1:24" x14ac:dyDescent="0.25">
      <c r="A13" t="s">
        <v>26</v>
      </c>
      <c r="B13">
        <v>0</v>
      </c>
      <c r="C13">
        <v>0</v>
      </c>
      <c r="F13">
        <v>0</v>
      </c>
      <c r="M13" s="4"/>
      <c r="W13" s="3" t="s">
        <v>8</v>
      </c>
      <c r="X13" s="4">
        <f>L18</f>
        <v>15000.000000000002</v>
      </c>
    </row>
    <row r="14" spans="1:24" x14ac:dyDescent="0.25">
      <c r="A14" t="s">
        <v>27</v>
      </c>
      <c r="B14" s="2">
        <f t="shared" ref="B14:F14" si="6">B7*B5</f>
        <v>4833.3599999999997</v>
      </c>
      <c r="C14" s="2">
        <f t="shared" si="6"/>
        <v>4833.3599999999997</v>
      </c>
      <c r="D14" s="2">
        <f t="shared" si="6"/>
        <v>2993.6060000000002</v>
      </c>
      <c r="E14" s="2">
        <f t="shared" si="6"/>
        <v>5442.92</v>
      </c>
      <c r="F14" s="2">
        <f t="shared" si="6"/>
        <v>10633.392</v>
      </c>
      <c r="G14" s="2"/>
      <c r="H14" s="2"/>
      <c r="I14" s="2"/>
      <c r="M14" s="4"/>
      <c r="W14" s="3" t="s">
        <v>9</v>
      </c>
      <c r="X14" s="4">
        <f>M18</f>
        <v>12098.765432098766</v>
      </c>
    </row>
    <row r="15" spans="1:24" x14ac:dyDescent="0.25">
      <c r="A15" t="s">
        <v>28</v>
      </c>
      <c r="B15" s="2">
        <f t="shared" ref="B15:F15" si="7">B8*B5</f>
        <v>1178.9399999999998</v>
      </c>
      <c r="C15" s="2">
        <f t="shared" si="7"/>
        <v>1739.5</v>
      </c>
      <c r="D15" s="2">
        <f t="shared" si="7"/>
        <v>898.08179999999993</v>
      </c>
      <c r="E15" s="2">
        <f t="shared" si="7"/>
        <v>925.29640000000006</v>
      </c>
      <c r="F15" s="2">
        <f t="shared" si="7"/>
        <v>1763.0199999999998</v>
      </c>
      <c r="G15" s="2"/>
      <c r="H15" s="2"/>
      <c r="I15" s="2"/>
      <c r="J15" t="s">
        <v>62</v>
      </c>
      <c r="K15" s="4">
        <f>K5/K11</f>
        <v>7.5384615384615383</v>
      </c>
      <c r="L15" s="4">
        <f>L5/L11</f>
        <v>5.0000000000000009</v>
      </c>
      <c r="M15" s="4">
        <f>M5/M11</f>
        <v>6.0493827160493829</v>
      </c>
      <c r="N15" s="4">
        <f>N5/N11</f>
        <v>8.1666666666666661</v>
      </c>
      <c r="O15" s="4">
        <f>O5/O11</f>
        <v>24.5</v>
      </c>
      <c r="W15" s="3" t="s">
        <v>10</v>
      </c>
      <c r="X15" s="4">
        <f>N18</f>
        <v>13474.999999999998</v>
      </c>
    </row>
    <row r="16" spans="1:24" x14ac:dyDescent="0.25">
      <c r="A16" t="s">
        <v>29</v>
      </c>
      <c r="B16" s="2">
        <f t="shared" ref="B16:E16" si="8">SUM(B9:B15)</f>
        <v>6071.7082999999993</v>
      </c>
      <c r="C16" s="2">
        <f t="shared" si="8"/>
        <v>6638.3465499999993</v>
      </c>
      <c r="D16" s="2">
        <f t="shared" si="8"/>
        <v>3927.6178</v>
      </c>
      <c r="E16" s="2">
        <f t="shared" si="8"/>
        <v>6405.2064</v>
      </c>
      <c r="F16" s="2">
        <f t="shared" ref="F16" si="9">SUM(F9:F15)</f>
        <v>12460.4283</v>
      </c>
      <c r="G16" s="2"/>
      <c r="H16" s="2"/>
      <c r="I16" s="2"/>
      <c r="W16" s="3" t="s">
        <v>11</v>
      </c>
      <c r="X16" s="4">
        <f>O18</f>
        <v>7350</v>
      </c>
    </row>
    <row r="17" spans="1:15" ht="13.5" customHeight="1" x14ac:dyDescent="0.25">
      <c r="A17" t="s">
        <v>31</v>
      </c>
      <c r="B17" s="2">
        <f>B16*(H3/100)</f>
        <v>1396.4929089999998</v>
      </c>
      <c r="C17" s="2">
        <f>C16*(H3/100)</f>
        <v>1526.8197064999999</v>
      </c>
      <c r="D17" s="2">
        <f>D16*(H2/100)</f>
        <v>903.35209400000008</v>
      </c>
      <c r="E17" s="2">
        <f>E16*(H2/100)</f>
        <v>1473.1974720000001</v>
      </c>
      <c r="F17" s="2">
        <f>F16*(H3/100)</f>
        <v>2865.8985090000001</v>
      </c>
      <c r="G17" s="2"/>
      <c r="H17" s="2"/>
      <c r="I17" s="2"/>
    </row>
    <row r="18" spans="1:15" ht="23.25" x14ac:dyDescent="0.35">
      <c r="A18" s="3" t="s">
        <v>32</v>
      </c>
      <c r="B18" s="6">
        <f>B16+B17</f>
        <v>7468.2012089999989</v>
      </c>
      <c r="C18" s="6">
        <f t="shared" ref="C18:E18" si="10">C16+C17</f>
        <v>8165.1662564999988</v>
      </c>
      <c r="D18" s="6">
        <f t="shared" si="10"/>
        <v>4830.9698939999998</v>
      </c>
      <c r="E18" s="6">
        <f t="shared" si="10"/>
        <v>7878.4038719999999</v>
      </c>
      <c r="F18" s="6">
        <f t="shared" ref="F18" si="11">F16+F17</f>
        <v>15326.326809</v>
      </c>
      <c r="G18" s="6">
        <f>G5*G7</f>
        <v>22313.740402799995</v>
      </c>
      <c r="H18" s="6">
        <f>H5*H7</f>
        <v>11156.870201399997</v>
      </c>
      <c r="I18" s="6">
        <f>I5*I7</f>
        <v>7437.9134675999985</v>
      </c>
      <c r="J18" s="3" t="s">
        <v>32</v>
      </c>
      <c r="K18" s="5">
        <f>K8*K15</f>
        <v>22615.384615384613</v>
      </c>
      <c r="L18" s="5">
        <f>L8*L15</f>
        <v>15000.000000000002</v>
      </c>
      <c r="M18" s="5">
        <f>M8*M15</f>
        <v>12098.765432098766</v>
      </c>
      <c r="N18" s="5">
        <f>N8*N15</f>
        <v>13474.999999999998</v>
      </c>
      <c r="O18" s="5">
        <f>O8*O15</f>
        <v>7350</v>
      </c>
    </row>
    <row r="19" spans="1:15" x14ac:dyDescent="0.25">
      <c r="A19" t="s">
        <v>33</v>
      </c>
      <c r="B19" s="7">
        <f t="shared" ref="B19" si="12">B18/12</f>
        <v>622.35010074999991</v>
      </c>
      <c r="C19" s="7">
        <f>C18/12</f>
        <v>680.4305213749999</v>
      </c>
      <c r="D19" s="7">
        <f t="shared" ref="D19:I19" si="13">D18/12</f>
        <v>402.58082450000001</v>
      </c>
      <c r="E19" s="7">
        <f t="shared" si="13"/>
        <v>656.53365599999995</v>
      </c>
      <c r="F19" s="7">
        <f t="shared" si="13"/>
        <v>1277.19390075</v>
      </c>
      <c r="G19" s="7">
        <f t="shared" si="13"/>
        <v>1859.4783668999996</v>
      </c>
      <c r="H19" s="7">
        <f t="shared" si="13"/>
        <v>929.73918344999981</v>
      </c>
      <c r="I19" s="7">
        <f t="shared" si="13"/>
        <v>619.82612229999984</v>
      </c>
      <c r="J19" t="s">
        <v>33</v>
      </c>
      <c r="K19" s="7">
        <f>K18/12</f>
        <v>1884.6153846153845</v>
      </c>
      <c r="L19" s="7">
        <f t="shared" ref="L19:O19" si="14">L18/12</f>
        <v>1250.0000000000002</v>
      </c>
      <c r="M19" s="7">
        <f t="shared" si="14"/>
        <v>1008.2304526748972</v>
      </c>
      <c r="N19" s="7">
        <f t="shared" si="14"/>
        <v>1122.9166666666665</v>
      </c>
      <c r="O19" s="7">
        <f t="shared" si="14"/>
        <v>612.5</v>
      </c>
    </row>
    <row r="22" spans="1:15" x14ac:dyDescent="0.25">
      <c r="I22" s="7"/>
      <c r="L22" s="33" t="s">
        <v>34</v>
      </c>
      <c r="M22" s="33"/>
    </row>
    <row r="23" spans="1:15" x14ac:dyDescent="0.25">
      <c r="I23" s="7"/>
      <c r="L23" s="33"/>
      <c r="M23" s="33"/>
    </row>
    <row r="24" spans="1:15" x14ac:dyDescent="0.25">
      <c r="I24" s="9"/>
      <c r="L24" s="33"/>
      <c r="M24" s="33"/>
    </row>
    <row r="25" spans="1:15" x14ac:dyDescent="0.25">
      <c r="L25" s="33"/>
      <c r="M25" s="33"/>
    </row>
    <row r="26" spans="1:15" x14ac:dyDescent="0.25">
      <c r="I26" s="7"/>
      <c r="L26" s="33"/>
      <c r="M26" s="33"/>
    </row>
    <row r="27" spans="1:15" x14ac:dyDescent="0.25">
      <c r="L27" s="33"/>
      <c r="M27" s="33"/>
    </row>
    <row r="28" spans="1:15" x14ac:dyDescent="0.25">
      <c r="I28" s="7"/>
      <c r="J28" s="7"/>
      <c r="L28" s="33"/>
      <c r="M28" s="33"/>
    </row>
    <row r="29" spans="1:15" x14ac:dyDescent="0.25">
      <c r="J29" s="7"/>
      <c r="L29" s="33"/>
      <c r="M29" s="33"/>
    </row>
    <row r="30" spans="1:15" x14ac:dyDescent="0.25">
      <c r="L30" s="33"/>
      <c r="M30" s="33"/>
    </row>
    <row r="31" spans="1:15" x14ac:dyDescent="0.25">
      <c r="L31" s="33"/>
      <c r="M31" s="33"/>
    </row>
  </sheetData>
  <mergeCells count="2">
    <mergeCell ref="L22:M31"/>
    <mergeCell ref="C1:C2"/>
  </mergeCells>
  <pageMargins left="0.7" right="0.7" top="0.75" bottom="0.75" header="0.3" footer="0.3"/>
  <pageSetup paperSiz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43A06-77E7-4FEB-8CB4-09B9C897698B}">
  <dimension ref="A1:G11"/>
  <sheetViews>
    <sheetView zoomScaleNormal="60" zoomScaleSheetLayoutView="100" workbookViewId="0"/>
  </sheetViews>
  <sheetFormatPr defaultRowHeight="15" x14ac:dyDescent="0.25"/>
  <cols>
    <col min="1" max="1" width="25.7109375" bestFit="1" customWidth="1"/>
  </cols>
  <sheetData>
    <row r="1" spans="1:7" x14ac:dyDescent="0.25">
      <c r="A1" t="s">
        <v>46</v>
      </c>
    </row>
    <row r="3" spans="1:7" x14ac:dyDescent="0.25">
      <c r="A3" t="s">
        <v>49</v>
      </c>
    </row>
    <row r="4" spans="1:7" x14ac:dyDescent="0.25">
      <c r="A4" t="s">
        <v>50</v>
      </c>
    </row>
    <row r="5" spans="1:7" x14ac:dyDescent="0.25">
      <c r="A5" t="s">
        <v>47</v>
      </c>
    </row>
    <row r="6" spans="1:7" x14ac:dyDescent="0.25">
      <c r="A6" t="s">
        <v>48</v>
      </c>
    </row>
    <row r="7" spans="1:7" x14ac:dyDescent="0.25">
      <c r="A7" t="s">
        <v>52</v>
      </c>
    </row>
    <row r="11" spans="1:7" x14ac:dyDescent="0.25">
      <c r="G1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Obliczenia</vt:lpstr>
      <vt:lpstr>Instrukcja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Ryszard Chmielina</cp:lastModifiedBy>
  <cp:revision/>
  <dcterms:created xsi:type="dcterms:W3CDTF">2022-01-22T12:31:02Z</dcterms:created>
  <dcterms:modified xsi:type="dcterms:W3CDTF">2022-08-02T20:29:00Z</dcterms:modified>
  <cp:category/>
  <cp:contentStatus/>
</cp:coreProperties>
</file>